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110"/>
  <workbookPr/>
  <mc:AlternateContent xmlns:mc="http://schemas.openxmlformats.org/markup-compatibility/2006">
    <mc:Choice Requires="x15">
      <x15ac:absPath xmlns:x15ac="http://schemas.microsoft.com/office/spreadsheetml/2010/11/ac" url="/Users/kevinchiang/Documents/Teaching/BSAD 295/Excel folder/"/>
    </mc:Choice>
  </mc:AlternateContent>
  <xr:revisionPtr revIDLastSave="0" documentId="13_ncr:1_{1D61A20D-B0CF-CE4F-9876-3457E134AA8D}" xr6:coauthVersionLast="36" xr6:coauthVersionMax="36" xr10:uidLastSave="{00000000-0000-0000-0000-000000000000}"/>
  <bookViews>
    <workbookView xWindow="840" yWindow="1780" windowWidth="32760" windowHeight="17480" tabRatio="500" xr2:uid="{00000000-000D-0000-FFFF-FFFF00000000}"/>
  </bookViews>
  <sheets>
    <sheet name="AMCE" sheetId="2" r:id="rId1"/>
    <sheet name="Sheet1" sheetId="1" r:id="rId2"/>
  </sheets>
  <calcPr calcId="162913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48" i="2" l="1"/>
  <c r="B58" i="2" l="1"/>
  <c r="B53" i="2"/>
  <c r="G51" i="2"/>
  <c r="G50" i="2"/>
  <c r="B49" i="2"/>
  <c r="B34" i="2"/>
  <c r="B26" i="2"/>
  <c r="H18" i="2"/>
  <c r="C18" i="2"/>
  <c r="C12" i="2"/>
  <c r="C47" i="2" l="1"/>
  <c r="C16" i="2"/>
  <c r="G30" i="2"/>
  <c r="B39" i="2" l="1"/>
  <c r="B57" i="2" l="1"/>
  <c r="C5" i="2"/>
  <c r="C7" i="2" s="1"/>
  <c r="C11" i="2" s="1"/>
  <c r="C13" i="2"/>
  <c r="D12" i="2"/>
  <c r="D13" i="2"/>
  <c r="E12" i="2"/>
  <c r="E13" i="2"/>
  <c r="F12" i="2"/>
  <c r="F13" i="2"/>
  <c r="G12" i="2"/>
  <c r="G13" i="2"/>
  <c r="G5" i="2"/>
  <c r="G7" i="2" s="1"/>
  <c r="G11" i="2" s="1"/>
  <c r="G23" i="1"/>
  <c r="G28" i="2"/>
  <c r="G32" i="2" s="1"/>
  <c r="D5" i="2"/>
  <c r="D7" i="2" s="1"/>
  <c r="D11" i="2" s="1"/>
  <c r="E5" i="2"/>
  <c r="E7" i="2" s="1"/>
  <c r="E11" i="2" s="1"/>
  <c r="F5" i="2"/>
  <c r="F7" i="2" s="1"/>
  <c r="F11" i="2" s="1"/>
  <c r="B26" i="1"/>
  <c r="B28" i="1" s="1"/>
  <c r="C10" i="1"/>
  <c r="C19" i="1" s="1"/>
  <c r="B23" i="1"/>
  <c r="B25" i="1"/>
  <c r="C7" i="1"/>
  <c r="C13" i="1"/>
  <c r="C18" i="1" s="1"/>
  <c r="C12" i="1"/>
  <c r="D7" i="1"/>
  <c r="D13" i="1" s="1"/>
  <c r="D18" i="1" s="1"/>
  <c r="D8" i="1"/>
  <c r="E8" i="1" s="1"/>
  <c r="F8" i="1" s="1"/>
  <c r="G8" i="1" s="1"/>
  <c r="C5" i="1"/>
  <c r="D5" i="1" s="1"/>
  <c r="E5" i="1" s="1"/>
  <c r="F5" i="1" s="1"/>
  <c r="G5" i="1" s="1"/>
  <c r="D9" i="1"/>
  <c r="E7" i="1"/>
  <c r="E13" i="1"/>
  <c r="E18" i="1"/>
  <c r="E9" i="1"/>
  <c r="F9" i="1"/>
  <c r="G9" i="1"/>
  <c r="F7" i="1"/>
  <c r="F13" i="1"/>
  <c r="F18" i="1"/>
  <c r="G7" i="1"/>
  <c r="G13" i="1"/>
  <c r="G18" i="1"/>
  <c r="E14" i="2" l="1"/>
  <c r="E47" i="2" s="1"/>
  <c r="E48" i="2" s="1"/>
  <c r="G14" i="2"/>
  <c r="G47" i="2" s="1"/>
  <c r="G48" i="2" s="1"/>
  <c r="D14" i="2"/>
  <c r="D47" i="2" s="1"/>
  <c r="D48" i="2" s="1"/>
  <c r="C14" i="2"/>
  <c r="C48" i="2" s="1"/>
  <c r="F14" i="2"/>
  <c r="F47" i="2" s="1"/>
  <c r="F48" i="2" s="1"/>
  <c r="B40" i="2"/>
  <c r="C20" i="1"/>
  <c r="C4" i="1" s="1"/>
  <c r="E16" i="2" l="1"/>
  <c r="E33" i="2" s="1"/>
  <c r="E34" i="2" s="1"/>
  <c r="G16" i="2"/>
  <c r="G33" i="2" s="1"/>
  <c r="G34" i="2" s="1"/>
  <c r="C33" i="2"/>
  <c r="C34" i="2" s="1"/>
  <c r="D16" i="2"/>
  <c r="D33" i="2" s="1"/>
  <c r="D34" i="2" s="1"/>
  <c r="F16" i="2"/>
  <c r="F33" i="2" s="1"/>
  <c r="F34" i="2" s="1"/>
  <c r="B42" i="2"/>
  <c r="B45" i="2" s="1"/>
  <c r="D10" i="1"/>
  <c r="B35" i="2" l="1"/>
  <c r="D18" i="2"/>
  <c r="E18" i="2"/>
  <c r="F18" i="2"/>
  <c r="G18" i="2"/>
  <c r="D19" i="1"/>
  <c r="D20" i="1" s="1"/>
  <c r="D4" i="1" s="1"/>
  <c r="D12" i="1"/>
  <c r="B19" i="2" l="1"/>
  <c r="G52" i="2"/>
  <c r="E10" i="1"/>
  <c r="B55" i="2" l="1"/>
  <c r="B59" i="2" s="1"/>
  <c r="E12" i="1"/>
  <c r="E19" i="1"/>
  <c r="E20" i="1" s="1"/>
  <c r="E4" i="1" s="1"/>
  <c r="B56" i="2" l="1"/>
  <c r="B61" i="2"/>
  <c r="F10" i="1"/>
  <c r="F12" i="1" l="1"/>
  <c r="F19" i="1"/>
  <c r="F20" i="1" s="1"/>
  <c r="F4" i="1" s="1"/>
  <c r="G10" i="1" l="1"/>
  <c r="G19" i="1" l="1"/>
  <c r="G20" i="1" s="1"/>
  <c r="G4" i="1" s="1"/>
  <c r="G25" i="1" s="1"/>
  <c r="G26" i="1" s="1"/>
  <c r="B29" i="1" s="1"/>
  <c r="G12" i="1"/>
</calcChain>
</file>

<file path=xl/sharedStrings.xml><?xml version="1.0" encoding="utf-8"?>
<sst xmlns="http://schemas.openxmlformats.org/spreadsheetml/2006/main" count="101" uniqueCount="91">
  <si>
    <t>RJR Nabisco</t>
  </si>
  <si>
    <t>E1989</t>
  </si>
  <si>
    <t>E1990</t>
  </si>
  <si>
    <t>E1991</t>
  </si>
  <si>
    <t>E1992</t>
  </si>
  <si>
    <t>E1993</t>
  </si>
  <si>
    <t>$ Million</t>
  </si>
  <si>
    <t>EBITDA</t>
  </si>
  <si>
    <t xml:space="preserve">EBIT </t>
  </si>
  <si>
    <t>Tax Rate</t>
  </si>
  <si>
    <t>EBIAT</t>
  </si>
  <si>
    <t>Plus: Depreciation &amp; Amortization</t>
  </si>
  <si>
    <t>Less: Capex</t>
  </si>
  <si>
    <t>Less: investment in NWC</t>
  </si>
  <si>
    <t>Plus: Asset Sales Proceeds</t>
  </si>
  <si>
    <t>FCF</t>
  </si>
  <si>
    <t>Interest Rate: Bank Debt</t>
  </si>
  <si>
    <t>Interest Rate: Subordinated Debt</t>
  </si>
  <si>
    <t>Interest Expenses</t>
  </si>
  <si>
    <t>Interest Tax Shield</t>
  </si>
  <si>
    <t>Less: Net Interest Expenses after Tax</t>
  </si>
  <si>
    <t>Cash Available for Debt Repayment</t>
  </si>
  <si>
    <t>Valuation @</t>
  </si>
  <si>
    <t>MV of Debt</t>
  </si>
  <si>
    <t># Shares</t>
  </si>
  <si>
    <t>EV</t>
  </si>
  <si>
    <t>E1994</t>
  </si>
  <si>
    <t>NewCo Bank Debt Balance</t>
  </si>
  <si>
    <t>NewCo Subordinated Debt Balance</t>
  </si>
  <si>
    <t xml:space="preserve">Entry Multiple </t>
  </si>
  <si>
    <t>Share Price</t>
  </si>
  <si>
    <t>Exit Multiple</t>
  </si>
  <si>
    <t xml:space="preserve">Cash </t>
  </si>
  <si>
    <t>IRR</t>
  </si>
  <si>
    <t>Equity-In (-) and Equity-Out (+)</t>
  </si>
  <si>
    <t>2005E</t>
  </si>
  <si>
    <t>2006E</t>
  </si>
  <si>
    <t>2007E</t>
  </si>
  <si>
    <t>2008E</t>
  </si>
  <si>
    <t>2009E</t>
  </si>
  <si>
    <t>Adjusted EBITDA</t>
  </si>
  <si>
    <t>EBIT</t>
  </si>
  <si>
    <t>Pre-LBO Debt Interest Expense</t>
  </si>
  <si>
    <t>New Debt Interest Expense</t>
  </si>
  <si>
    <t>Total Interest Expense</t>
  </si>
  <si>
    <t xml:space="preserve">     Less: D&amp;A</t>
  </si>
  <si>
    <t xml:space="preserve">     Less: Taxes</t>
  </si>
  <si>
    <t xml:space="preserve">     Add: D&amp;A</t>
  </si>
  <si>
    <t xml:space="preserve">     Less: CAPEX</t>
  </si>
  <si>
    <t xml:space="preserve">     Less: increase in NWC</t>
  </si>
  <si>
    <t>CADR</t>
  </si>
  <si>
    <t>Adjusted EV</t>
  </si>
  <si>
    <t>Cash</t>
  </si>
  <si>
    <t>Equity Value</t>
  </si>
  <si>
    <t>Adjusted Equity Value (-In, +Out)</t>
  </si>
  <si>
    <t>D/E Ratio</t>
  </si>
  <si>
    <t>Unlevered Beta</t>
  </si>
  <si>
    <t>RUR</t>
  </si>
  <si>
    <t>Tax Shield</t>
  </si>
  <si>
    <t>WACC</t>
  </si>
  <si>
    <t>TV of Tax Shield</t>
  </si>
  <si>
    <t>Levered Terminal Value</t>
  </si>
  <si>
    <t>Unlevered Terminal Value</t>
  </si>
  <si>
    <t>Terminal Value of Tax Shield</t>
  </si>
  <si>
    <t>PVTS</t>
  </si>
  <si>
    <t>PV</t>
  </si>
  <si>
    <t>PV of Tax Shield</t>
  </si>
  <si>
    <t>TV</t>
  </si>
  <si>
    <t>VU</t>
  </si>
  <si>
    <t>VU+PVST</t>
  </si>
  <si>
    <t>MV of Pre-Offer Debt</t>
  </si>
  <si>
    <t>Price per common share</t>
  </si>
  <si>
    <t>LBO</t>
  </si>
  <si>
    <t>APV</t>
  </si>
  <si>
    <t>Levered Beta; p.24</t>
  </si>
  <si>
    <t>Risk-Free Rate (10-yr T-Bond rate); p. 24</t>
  </si>
  <si>
    <t>Arithmetic Market Risk Premium; syllabus</t>
  </si>
  <si>
    <t>LT Growth Rate; syllabus</t>
  </si>
  <si>
    <t>Tax Rate; p. 22</t>
  </si>
  <si>
    <t>Common Shares-Fully Diluted</t>
  </si>
  <si>
    <t>MV of Pre-Offer Debt; p. 10</t>
  </si>
  <si>
    <t>MV of Pre-Offer Equity; p. 2 &amp; p. 11</t>
  </si>
  <si>
    <t>Fees</t>
  </si>
  <si>
    <t>Implied Multiple</t>
  </si>
  <si>
    <t># Fully Diluted Shares</t>
  </si>
  <si>
    <t>Buyout Offer Price</t>
  </si>
  <si>
    <t>Purchased Equity</t>
  </si>
  <si>
    <t>Implied Equity Value</t>
  </si>
  <si>
    <r>
      <t>AMCE</t>
    </r>
    <r>
      <rPr>
        <sz val="12"/>
        <color theme="1"/>
        <rFont val="Times New Roman"/>
        <family val="1"/>
      </rPr>
      <t xml:space="preserve"> ($ in thousands)</t>
    </r>
  </si>
  <si>
    <t>Exhibit 14, footnote 5</t>
  </si>
  <si>
    <t>New debt, p.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</si>
</sst>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0.0"/>
    <numFmt numFmtId="166" formatCode="&quot;$&quot;#,##0"/>
    <numFmt numFmtId="167" formatCode="_(&quot;$&quot;* #,##0_);_(&quot;$&quot;* \(#,##0\);_(&quot;$&quot;* &quot;-&quot;??_);_(@_)"/>
  </numFmts>
  <fonts count="11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auto="1"/>
      </right>
      <top/>
      <bottom style="thin">
        <color indexed="64"/>
      </bottom>
      <diagonal/>
    </border>
  </borders>
  <cellStyleXfs count="16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9" fontId="2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69">
    <xf numFmtId="0" fontId="0" fillId="0" borderId="0" xfId="0"/>
    <xf numFmtId="9" fontId="0" fillId="0" borderId="0" xfId="0" applyNumberFormat="1"/>
    <xf numFmtId="164" fontId="0" fillId="0" borderId="0" xfId="0" applyNumberFormat="1"/>
    <xf numFmtId="2" fontId="0" fillId="0" borderId="0" xfId="0" applyNumberFormat="1"/>
    <xf numFmtId="165" fontId="0" fillId="0" borderId="0" xfId="0" applyNumberFormat="1"/>
    <xf numFmtId="14" fontId="0" fillId="0" borderId="0" xfId="0" applyNumberFormat="1"/>
    <xf numFmtId="164" fontId="0" fillId="0" borderId="0" xfId="9" applyNumberFormat="1" applyFont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10" fontId="0" fillId="0" borderId="4" xfId="0" applyNumberFormat="1" applyBorder="1" applyAlignment="1">
      <alignment horizontal="center"/>
    </xf>
    <xf numFmtId="10" fontId="0" fillId="0" borderId="6" xfId="0" applyNumberFormat="1" applyBorder="1" applyAlignment="1">
      <alignment horizontal="center"/>
    </xf>
    <xf numFmtId="0" fontId="0" fillId="2" borderId="0" xfId="0" applyFill="1"/>
    <xf numFmtId="0" fontId="0" fillId="3" borderId="0" xfId="0" applyFill="1" applyAlignment="1">
      <alignment horizontal="right"/>
    </xf>
    <xf numFmtId="0" fontId="0" fillId="4" borderId="0" xfId="0" applyFill="1"/>
    <xf numFmtId="164" fontId="0" fillId="4" borderId="0" xfId="0" applyNumberFormat="1" applyFill="1"/>
    <xf numFmtId="9" fontId="0" fillId="4" borderId="0" xfId="0" applyNumberFormat="1" applyFill="1"/>
    <xf numFmtId="0" fontId="0" fillId="4" borderId="3" xfId="0" applyFill="1" applyBorder="1" applyAlignment="1">
      <alignment horizontal="center"/>
    </xf>
    <xf numFmtId="0" fontId="0" fillId="4" borderId="5" xfId="0" applyFill="1" applyBorder="1" applyAlignment="1">
      <alignment horizontal="center"/>
    </xf>
    <xf numFmtId="0" fontId="5" fillId="0" borderId="0" xfId="0" applyFont="1"/>
    <xf numFmtId="0" fontId="0" fillId="5" borderId="0" xfId="0" applyFill="1"/>
    <xf numFmtId="0" fontId="0" fillId="0" borderId="0" xfId="0" applyAlignment="1">
      <alignment horizontal="right"/>
    </xf>
    <xf numFmtId="166" fontId="6" fillId="0" borderId="3" xfId="0" applyNumberFormat="1" applyFont="1" applyBorder="1"/>
    <xf numFmtId="166" fontId="6" fillId="0" borderId="0" xfId="0" applyNumberFormat="1" applyFont="1" applyBorder="1"/>
    <xf numFmtId="166" fontId="6" fillId="0" borderId="0" xfId="0" applyNumberFormat="1" applyFont="1"/>
    <xf numFmtId="5" fontId="6" fillId="0" borderId="3" xfId="0" applyNumberFormat="1" applyFont="1" applyFill="1" applyBorder="1"/>
    <xf numFmtId="5" fontId="6" fillId="0" borderId="0" xfId="0" applyNumberFormat="1" applyFont="1" applyFill="1" applyBorder="1"/>
    <xf numFmtId="37" fontId="6" fillId="0" borderId="3" xfId="0" applyNumberFormat="1" applyFont="1" applyFill="1" applyBorder="1"/>
    <xf numFmtId="37" fontId="6" fillId="0" borderId="0" xfId="0" applyNumberFormat="1" applyFont="1" applyFill="1" applyBorder="1"/>
    <xf numFmtId="167" fontId="6" fillId="0" borderId="3" xfId="0" applyNumberFormat="1" applyFont="1" applyFill="1" applyBorder="1"/>
    <xf numFmtId="167" fontId="6" fillId="0" borderId="0" xfId="0" applyNumberFormat="1" applyFont="1" applyFill="1" applyBorder="1"/>
    <xf numFmtId="0" fontId="7" fillId="0" borderId="0" xfId="0" applyFont="1"/>
    <xf numFmtId="0" fontId="8" fillId="0" borderId="0" xfId="0" applyFont="1"/>
    <xf numFmtId="167" fontId="8" fillId="0" borderId="0" xfId="0" applyNumberFormat="1" applyFont="1"/>
    <xf numFmtId="0" fontId="8" fillId="6" borderId="0" xfId="0" applyFont="1" applyFill="1"/>
    <xf numFmtId="44" fontId="8" fillId="0" borderId="0" xfId="14" applyFont="1"/>
    <xf numFmtId="44" fontId="8" fillId="0" borderId="7" xfId="14" applyFont="1" applyBorder="1"/>
    <xf numFmtId="44" fontId="8" fillId="0" borderId="0" xfId="14" applyFont="1" applyBorder="1"/>
    <xf numFmtId="44" fontId="8" fillId="0" borderId="8" xfId="14" applyFont="1" applyBorder="1"/>
    <xf numFmtId="44" fontId="8" fillId="0" borderId="10" xfId="14" applyFont="1" applyBorder="1"/>
    <xf numFmtId="44" fontId="8" fillId="0" borderId="11" xfId="14" applyFont="1" applyBorder="1"/>
    <xf numFmtId="44" fontId="8" fillId="0" borderId="12" xfId="14" applyFont="1" applyBorder="1"/>
    <xf numFmtId="44" fontId="8" fillId="0" borderId="13" xfId="14" applyFont="1" applyBorder="1"/>
    <xf numFmtId="44" fontId="7" fillId="0" borderId="9" xfId="14" applyFont="1" applyBorder="1"/>
    <xf numFmtId="44" fontId="8" fillId="0" borderId="0" xfId="0" applyNumberFormat="1" applyFont="1"/>
    <xf numFmtId="44" fontId="7" fillId="0" borderId="0" xfId="14" applyFont="1" applyBorder="1"/>
    <xf numFmtId="9" fontId="8" fillId="0" borderId="0" xfId="9" applyFont="1" applyBorder="1"/>
    <xf numFmtId="0" fontId="8" fillId="0" borderId="7" xfId="0" applyFont="1" applyBorder="1"/>
    <xf numFmtId="44" fontId="8" fillId="0" borderId="0" xfId="0" applyNumberFormat="1" applyFont="1" applyBorder="1"/>
    <xf numFmtId="0" fontId="8" fillId="0" borderId="0" xfId="0" applyFont="1" applyBorder="1"/>
    <xf numFmtId="0" fontId="8" fillId="0" borderId="8" xfId="0" applyFont="1" applyBorder="1"/>
    <xf numFmtId="10" fontId="8" fillId="0" borderId="0" xfId="0" applyNumberFormat="1" applyFont="1" applyBorder="1"/>
    <xf numFmtId="9" fontId="8" fillId="0" borderId="0" xfId="0" applyNumberFormat="1" applyFont="1" applyBorder="1"/>
    <xf numFmtId="44" fontId="8" fillId="0" borderId="8" xfId="0" applyNumberFormat="1" applyFont="1" applyBorder="1"/>
    <xf numFmtId="0" fontId="10" fillId="0" borderId="0" xfId="0" applyFont="1"/>
    <xf numFmtId="10" fontId="8" fillId="0" borderId="0" xfId="9" applyNumberFormat="1" applyFont="1" applyBorder="1"/>
    <xf numFmtId="0" fontId="8" fillId="0" borderId="17" xfId="0" applyFont="1" applyBorder="1"/>
    <xf numFmtId="44" fontId="8" fillId="0" borderId="18" xfId="0" applyNumberFormat="1" applyFont="1" applyBorder="1"/>
    <xf numFmtId="0" fontId="8" fillId="0" borderId="18" xfId="0" applyFont="1" applyBorder="1"/>
    <xf numFmtId="0" fontId="8" fillId="0" borderId="19" xfId="0" applyFont="1" applyBorder="1"/>
    <xf numFmtId="2" fontId="8" fillId="0" borderId="0" xfId="14" applyNumberFormat="1" applyFont="1" applyBorder="1"/>
    <xf numFmtId="10" fontId="8" fillId="0" borderId="10" xfId="9" applyNumberFormat="1" applyFont="1" applyBorder="1"/>
    <xf numFmtId="0" fontId="8" fillId="0" borderId="4" xfId="0" applyFont="1" applyBorder="1"/>
    <xf numFmtId="0" fontId="8" fillId="0" borderId="6" xfId="0" applyFont="1" applyBorder="1"/>
    <xf numFmtId="43" fontId="8" fillId="0" borderId="0" xfId="15" applyFont="1" applyBorder="1"/>
    <xf numFmtId="2" fontId="8" fillId="0" borderId="0" xfId="14" applyNumberFormat="1" applyFont="1"/>
    <xf numFmtId="10" fontId="8" fillId="0" borderId="10" xfId="14" applyNumberFormat="1" applyFont="1" applyBorder="1"/>
    <xf numFmtId="0" fontId="7" fillId="0" borderId="14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7" fillId="0" borderId="16" xfId="0" applyFont="1" applyBorder="1" applyAlignment="1">
      <alignment horizontal="center"/>
    </xf>
  </cellXfs>
  <cellStyles count="16">
    <cellStyle name="Comma" xfId="15" builtinId="3"/>
    <cellStyle name="Currency" xfId="14" builtinId="4"/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1" builtinId="9" hidden="1"/>
    <cellStyle name="Followed Hyperlink" xfId="13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10" builtinId="8" hidden="1"/>
    <cellStyle name="Hyperlink" xfId="12" builtinId="8" hidden="1"/>
    <cellStyle name="Normal" xfId="0" builtinId="0"/>
    <cellStyle name="Percent" xfId="9" builtinId="5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61"/>
  <sheetViews>
    <sheetView tabSelected="1" topLeftCell="A22" zoomScale="189" zoomScaleNormal="189" zoomScalePageLayoutView="120" workbookViewId="0">
      <selection activeCell="H49" sqref="H49"/>
    </sheetView>
  </sheetViews>
  <sheetFormatPr baseColWidth="10" defaultRowHeight="13" x14ac:dyDescent="0.15"/>
  <cols>
    <col min="1" max="1" width="36" style="31" customWidth="1"/>
    <col min="2" max="2" width="16" style="31" customWidth="1"/>
    <col min="3" max="3" width="14.1640625" style="31" customWidth="1"/>
    <col min="4" max="4" width="11" style="31" bestFit="1" customWidth="1"/>
    <col min="5" max="5" width="12.6640625" style="31" customWidth="1"/>
    <col min="6" max="7" width="13.33203125" style="31" customWidth="1"/>
    <col min="8" max="8" width="14" style="31" bestFit="1" customWidth="1"/>
    <col min="9" max="16384" width="10.83203125" style="31"/>
  </cols>
  <sheetData>
    <row r="1" spans="1:8" ht="16" x14ac:dyDescent="0.2">
      <c r="A1" s="53" t="s">
        <v>88</v>
      </c>
      <c r="B1" s="31">
        <v>2004</v>
      </c>
      <c r="C1" s="31" t="s">
        <v>35</v>
      </c>
      <c r="D1" s="31" t="s">
        <v>36</v>
      </c>
      <c r="E1" s="31" t="s">
        <v>37</v>
      </c>
      <c r="F1" s="31" t="s">
        <v>38</v>
      </c>
      <c r="G1" s="31" t="s">
        <v>39</v>
      </c>
    </row>
    <row r="2" spans="1:8" x14ac:dyDescent="0.15">
      <c r="A2" s="33" t="s">
        <v>7</v>
      </c>
      <c r="C2" s="21">
        <v>129210</v>
      </c>
      <c r="D2" s="22">
        <v>203522</v>
      </c>
      <c r="E2" s="23">
        <v>224644</v>
      </c>
      <c r="F2" s="23">
        <v>248863</v>
      </c>
      <c r="G2" s="23">
        <v>274033</v>
      </c>
      <c r="H2" s="34"/>
    </row>
    <row r="3" spans="1:8" x14ac:dyDescent="0.15">
      <c r="A3" s="33" t="s">
        <v>40</v>
      </c>
      <c r="C3" s="24">
        <v>263207</v>
      </c>
      <c r="D3" s="25">
        <v>275243</v>
      </c>
      <c r="E3" s="25">
        <v>299288</v>
      </c>
      <c r="F3" s="25">
        <v>326652</v>
      </c>
      <c r="G3" s="25">
        <v>355216</v>
      </c>
      <c r="H3" s="34"/>
    </row>
    <row r="4" spans="1:8" x14ac:dyDescent="0.15">
      <c r="A4" s="31" t="s">
        <v>45</v>
      </c>
      <c r="C4" s="24">
        <v>132046</v>
      </c>
      <c r="D4" s="25">
        <v>139969</v>
      </c>
      <c r="E4" s="25">
        <v>148367</v>
      </c>
      <c r="F4" s="25">
        <v>157269</v>
      </c>
      <c r="G4" s="25">
        <v>166705</v>
      </c>
    </row>
    <row r="5" spans="1:8" x14ac:dyDescent="0.15">
      <c r="A5" s="31" t="s">
        <v>41</v>
      </c>
      <c r="C5" s="26">
        <f>C3-C4</f>
        <v>131161</v>
      </c>
      <c r="D5" s="26">
        <f t="shared" ref="D5:G5" si="0">D3-D4</f>
        <v>135274</v>
      </c>
      <c r="E5" s="26">
        <f t="shared" si="0"/>
        <v>150921</v>
      </c>
      <c r="F5" s="26">
        <f t="shared" si="0"/>
        <v>169383</v>
      </c>
      <c r="G5" s="26">
        <f t="shared" si="0"/>
        <v>188511</v>
      </c>
    </row>
    <row r="6" spans="1:8" x14ac:dyDescent="0.15">
      <c r="A6" s="31" t="s">
        <v>46</v>
      </c>
      <c r="C6" s="26">
        <v>53776</v>
      </c>
      <c r="D6" s="27">
        <v>55462</v>
      </c>
      <c r="E6" s="27">
        <v>61878</v>
      </c>
      <c r="F6" s="27">
        <v>69447</v>
      </c>
      <c r="G6" s="27">
        <v>77289</v>
      </c>
    </row>
    <row r="7" spans="1:8" x14ac:dyDescent="0.15">
      <c r="A7" s="31" t="s">
        <v>10</v>
      </c>
      <c r="C7" s="28">
        <f>C5-C6</f>
        <v>77385</v>
      </c>
      <c r="D7" s="28">
        <f t="shared" ref="D7:G7" si="1">D5-D6</f>
        <v>79812</v>
      </c>
      <c r="E7" s="28">
        <f t="shared" si="1"/>
        <v>89043</v>
      </c>
      <c r="F7" s="28">
        <f t="shared" si="1"/>
        <v>99936</v>
      </c>
      <c r="G7" s="28">
        <f t="shared" si="1"/>
        <v>111222</v>
      </c>
    </row>
    <row r="8" spans="1:8" x14ac:dyDescent="0.15">
      <c r="A8" s="31" t="s">
        <v>47</v>
      </c>
      <c r="C8" s="24">
        <v>132046</v>
      </c>
      <c r="D8" s="25">
        <v>139969</v>
      </c>
      <c r="E8" s="25">
        <v>148367</v>
      </c>
      <c r="F8" s="25">
        <v>157269</v>
      </c>
      <c r="G8" s="25">
        <v>166705</v>
      </c>
    </row>
    <row r="9" spans="1:8" x14ac:dyDescent="0.15">
      <c r="A9" s="31" t="s">
        <v>48</v>
      </c>
      <c r="C9" s="28">
        <v>70000</v>
      </c>
      <c r="D9" s="29">
        <v>70000</v>
      </c>
      <c r="E9" s="29">
        <v>70000</v>
      </c>
      <c r="F9" s="29">
        <v>70000</v>
      </c>
      <c r="G9" s="29">
        <v>70000</v>
      </c>
    </row>
    <row r="10" spans="1:8" x14ac:dyDescent="0.15">
      <c r="A10" s="31" t="s">
        <v>49</v>
      </c>
      <c r="C10" s="28">
        <v>3143</v>
      </c>
      <c r="D10" s="29">
        <v>4212</v>
      </c>
      <c r="E10" s="29">
        <v>3932</v>
      </c>
      <c r="F10" s="29">
        <v>3631</v>
      </c>
      <c r="G10" s="29">
        <v>3765</v>
      </c>
    </row>
    <row r="11" spans="1:8" x14ac:dyDescent="0.15">
      <c r="A11" s="30" t="s">
        <v>15</v>
      </c>
      <c r="C11" s="32">
        <f>C7+C8-C9-C10</f>
        <v>136288</v>
      </c>
      <c r="D11" s="32">
        <f t="shared" ref="D11:G11" si="2">D7+D8-D9-D10</f>
        <v>145569</v>
      </c>
      <c r="E11" s="32">
        <f t="shared" si="2"/>
        <v>163478</v>
      </c>
      <c r="F11" s="32">
        <f t="shared" si="2"/>
        <v>183574</v>
      </c>
      <c r="G11" s="32">
        <f t="shared" si="2"/>
        <v>204162</v>
      </c>
    </row>
    <row r="12" spans="1:8" x14ac:dyDescent="0.15">
      <c r="A12" s="31" t="s">
        <v>42</v>
      </c>
      <c r="C12" s="34">
        <f>20311+17044+24000</f>
        <v>61355</v>
      </c>
      <c r="D12" s="34">
        <f t="shared" ref="D12:G12" si="3">20311+17044+24000</f>
        <v>61355</v>
      </c>
      <c r="E12" s="34">
        <f t="shared" si="3"/>
        <v>61355</v>
      </c>
      <c r="F12" s="34">
        <f t="shared" si="3"/>
        <v>61355</v>
      </c>
      <c r="G12" s="34">
        <f t="shared" si="3"/>
        <v>61355</v>
      </c>
    </row>
    <row r="13" spans="1:8" x14ac:dyDescent="0.15">
      <c r="A13" s="31" t="s">
        <v>43</v>
      </c>
      <c r="C13" s="34">
        <f>21563+12116</f>
        <v>33679</v>
      </c>
      <c r="D13" s="34">
        <f t="shared" ref="D13:G13" si="4">21563+12116</f>
        <v>33679</v>
      </c>
      <c r="E13" s="34">
        <f t="shared" si="4"/>
        <v>33679</v>
      </c>
      <c r="F13" s="34">
        <f t="shared" si="4"/>
        <v>33679</v>
      </c>
      <c r="G13" s="34">
        <f t="shared" si="4"/>
        <v>33679</v>
      </c>
    </row>
    <row r="14" spans="1:8" x14ac:dyDescent="0.15">
      <c r="A14" s="30" t="s">
        <v>44</v>
      </c>
      <c r="C14" s="34">
        <f>C12+C13</f>
        <v>95034</v>
      </c>
      <c r="D14" s="34">
        <f t="shared" ref="D14:G14" si="5">D12+D13</f>
        <v>95034</v>
      </c>
      <c r="E14" s="34">
        <f t="shared" si="5"/>
        <v>95034</v>
      </c>
      <c r="F14" s="34">
        <f t="shared" si="5"/>
        <v>95034</v>
      </c>
      <c r="G14" s="34">
        <f t="shared" si="5"/>
        <v>95034</v>
      </c>
    </row>
    <row r="15" spans="1:8" x14ac:dyDescent="0.15">
      <c r="A15" s="31" t="s">
        <v>78</v>
      </c>
      <c r="C15" s="64">
        <v>0.41</v>
      </c>
      <c r="D15" s="64">
        <v>0.41</v>
      </c>
      <c r="E15" s="64">
        <v>0.41</v>
      </c>
      <c r="F15" s="64">
        <v>0.41</v>
      </c>
      <c r="G15" s="64">
        <v>0.41</v>
      </c>
    </row>
    <row r="16" spans="1:8" x14ac:dyDescent="0.15">
      <c r="A16" s="31" t="s">
        <v>50</v>
      </c>
      <c r="C16" s="34">
        <f>C11-(C14*(1-C15))</f>
        <v>80217.94</v>
      </c>
      <c r="D16" s="34">
        <f t="shared" ref="D16:G16" si="6">D11-(D14*(1-D15))</f>
        <v>89498.94</v>
      </c>
      <c r="E16" s="34">
        <f t="shared" si="6"/>
        <v>107407.94</v>
      </c>
      <c r="F16" s="34">
        <f t="shared" si="6"/>
        <v>127503.94</v>
      </c>
      <c r="G16" s="34">
        <f t="shared" si="6"/>
        <v>148091.94</v>
      </c>
    </row>
    <row r="17" spans="1:8" x14ac:dyDescent="0.15">
      <c r="C17" s="34"/>
      <c r="D17" s="34"/>
      <c r="E17" s="34"/>
      <c r="F17" s="34"/>
      <c r="G17" s="34"/>
      <c r="H17" s="31" t="s">
        <v>67</v>
      </c>
    </row>
    <row r="18" spans="1:8" x14ac:dyDescent="0.15">
      <c r="A18" s="31" t="s">
        <v>65</v>
      </c>
      <c r="C18" s="34">
        <f>C11/(1+$B$45)</f>
        <v>122397.50823054969</v>
      </c>
      <c r="D18" s="34">
        <f>D11/(1+$B$45)^2</f>
        <v>117408.3040760912</v>
      </c>
      <c r="E18" s="34">
        <f>E11/(1+$B$45)^3</f>
        <v>118414.31043642462</v>
      </c>
      <c r="F18" s="34">
        <f>F11/(1+$B$45)^4</f>
        <v>119418.33278731951</v>
      </c>
      <c r="G18" s="34">
        <f>G11/(1+$B$45)^5</f>
        <v>119275.07605307954</v>
      </c>
      <c r="H18" s="34">
        <f>(G11*(1+B46)/(B45-B46))/(1+B45)^5</f>
        <v>1471531.3770120512</v>
      </c>
    </row>
    <row r="19" spans="1:8" x14ac:dyDescent="0.15">
      <c r="A19" s="31" t="s">
        <v>68</v>
      </c>
      <c r="B19" s="43">
        <f>SUM(C18:H18)</f>
        <v>2068444.9085955159</v>
      </c>
      <c r="C19" s="34"/>
      <c r="D19" s="34"/>
      <c r="E19" s="34"/>
      <c r="F19" s="34"/>
      <c r="G19" s="34"/>
    </row>
    <row r="20" spans="1:8" x14ac:dyDescent="0.15">
      <c r="C20" s="34"/>
      <c r="D20" s="34"/>
      <c r="E20" s="34"/>
      <c r="F20" s="34"/>
      <c r="G20" s="34"/>
    </row>
    <row r="21" spans="1:8" ht="14" thickBot="1" x14ac:dyDescent="0.2">
      <c r="C21" s="34"/>
      <c r="D21" s="34"/>
      <c r="E21" s="34"/>
      <c r="F21" s="34"/>
      <c r="G21" s="34"/>
    </row>
    <row r="22" spans="1:8" ht="14" thickBot="1" x14ac:dyDescent="0.2">
      <c r="A22" s="66" t="s">
        <v>72</v>
      </c>
      <c r="B22" s="67"/>
      <c r="C22" s="67"/>
      <c r="D22" s="67"/>
      <c r="E22" s="67"/>
      <c r="F22" s="67"/>
      <c r="G22" s="67"/>
      <c r="H22" s="68"/>
    </row>
    <row r="23" spans="1:8" x14ac:dyDescent="0.15">
      <c r="A23" s="35" t="s">
        <v>31</v>
      </c>
      <c r="B23" s="59">
        <v>8</v>
      </c>
      <c r="C23" s="36"/>
      <c r="D23" s="36"/>
      <c r="E23" s="36"/>
      <c r="F23" s="36"/>
      <c r="G23" s="36"/>
      <c r="H23" s="37"/>
    </row>
    <row r="24" spans="1:8" x14ac:dyDescent="0.15">
      <c r="A24" s="35" t="s">
        <v>85</v>
      </c>
      <c r="B24" s="36">
        <v>20.8</v>
      </c>
      <c r="C24" s="36">
        <v>19.5</v>
      </c>
      <c r="D24" s="36"/>
      <c r="E24" s="36"/>
      <c r="F24" s="36"/>
      <c r="G24" s="36"/>
      <c r="H24" s="37"/>
    </row>
    <row r="25" spans="1:8" x14ac:dyDescent="0.15">
      <c r="A25" s="35" t="s">
        <v>84</v>
      </c>
      <c r="B25" s="63">
        <v>86400</v>
      </c>
      <c r="C25" s="36"/>
      <c r="D25" s="36"/>
      <c r="E25" s="36"/>
      <c r="F25" s="36"/>
      <c r="G25" s="36"/>
      <c r="H25" s="37"/>
    </row>
    <row r="26" spans="1:8" x14ac:dyDescent="0.15">
      <c r="A26" s="35" t="s">
        <v>86</v>
      </c>
      <c r="B26" s="36">
        <f>B24*B25</f>
        <v>1797120</v>
      </c>
      <c r="C26" s="36"/>
      <c r="D26" s="36"/>
      <c r="E26" s="36"/>
      <c r="F26" s="36"/>
      <c r="G26" s="36"/>
      <c r="H26" s="37"/>
    </row>
    <row r="27" spans="1:8" x14ac:dyDescent="0.15">
      <c r="A27" s="35"/>
      <c r="B27" s="59"/>
      <c r="C27" s="36"/>
      <c r="D27" s="36"/>
      <c r="E27" s="36"/>
      <c r="F27" s="36"/>
      <c r="G27" s="36"/>
      <c r="H27" s="37"/>
    </row>
    <row r="28" spans="1:8" x14ac:dyDescent="0.15">
      <c r="A28" s="35" t="s">
        <v>51</v>
      </c>
      <c r="B28" s="36"/>
      <c r="C28" s="36"/>
      <c r="D28" s="36"/>
      <c r="E28" s="36"/>
      <c r="F28" s="36"/>
      <c r="G28" s="36">
        <f>G3*$B$23</f>
        <v>2841728</v>
      </c>
      <c r="H28" s="61"/>
    </row>
    <row r="29" spans="1:8" x14ac:dyDescent="0.15">
      <c r="A29" s="35" t="s">
        <v>52</v>
      </c>
      <c r="B29" s="36">
        <v>333248</v>
      </c>
      <c r="C29" s="36"/>
      <c r="D29" s="36"/>
      <c r="E29" s="36"/>
      <c r="F29" s="36"/>
      <c r="G29" s="36"/>
      <c r="H29" s="61"/>
    </row>
    <row r="30" spans="1:8" x14ac:dyDescent="0.15">
      <c r="A30" s="35" t="s">
        <v>23</v>
      </c>
      <c r="B30" s="36">
        <v>625000</v>
      </c>
      <c r="C30" s="36" t="s">
        <v>90</v>
      </c>
      <c r="D30" s="36"/>
      <c r="E30" s="36"/>
      <c r="F30" s="36"/>
      <c r="G30" s="36">
        <f>213800+172600+300000+250000+205000+304265</f>
        <v>1445665</v>
      </c>
      <c r="H30" s="61" t="s">
        <v>89</v>
      </c>
    </row>
    <row r="31" spans="1:8" x14ac:dyDescent="0.15">
      <c r="A31" s="35" t="s">
        <v>82</v>
      </c>
      <c r="B31" s="36">
        <v>80000</v>
      </c>
      <c r="C31" s="36"/>
      <c r="D31" s="36"/>
      <c r="E31" s="36"/>
      <c r="F31" s="36"/>
      <c r="G31" s="36"/>
      <c r="H31" s="61"/>
    </row>
    <row r="32" spans="1:8" x14ac:dyDescent="0.15">
      <c r="A32" s="35" t="s">
        <v>87</v>
      </c>
      <c r="B32" s="36"/>
      <c r="C32" s="36"/>
      <c r="D32" s="36"/>
      <c r="E32" s="36"/>
      <c r="F32" s="36"/>
      <c r="G32" s="36">
        <f>G28-G30</f>
        <v>1396063</v>
      </c>
      <c r="H32" s="61"/>
    </row>
    <row r="33" spans="1:8" x14ac:dyDescent="0.15">
      <c r="A33" s="35" t="s">
        <v>50</v>
      </c>
      <c r="B33" s="36"/>
      <c r="C33" s="36">
        <f>C16</f>
        <v>80217.94</v>
      </c>
      <c r="D33" s="36">
        <f t="shared" ref="D33:G33" si="7">D16</f>
        <v>89498.94</v>
      </c>
      <c r="E33" s="36">
        <f t="shared" si="7"/>
        <v>107407.94</v>
      </c>
      <c r="F33" s="36">
        <f t="shared" si="7"/>
        <v>127503.94</v>
      </c>
      <c r="G33" s="36">
        <f t="shared" si="7"/>
        <v>148091.94</v>
      </c>
      <c r="H33" s="61"/>
    </row>
    <row r="34" spans="1:8" ht="14" thickBot="1" x14ac:dyDescent="0.2">
      <c r="A34" s="40" t="s">
        <v>54</v>
      </c>
      <c r="B34" s="41">
        <f>-1*(B26+B31-B29-B30)</f>
        <v>-918872</v>
      </c>
      <c r="C34" s="41">
        <f>C33</f>
        <v>80217.94</v>
      </c>
      <c r="D34" s="41">
        <f>D33</f>
        <v>89498.94</v>
      </c>
      <c r="E34" s="41">
        <f>E33</f>
        <v>107407.94</v>
      </c>
      <c r="F34" s="41">
        <f>F33</f>
        <v>127503.94</v>
      </c>
      <c r="G34" s="41">
        <f>G32+G33</f>
        <v>1544154.94</v>
      </c>
      <c r="H34" s="62"/>
    </row>
    <row r="35" spans="1:8" ht="15" thickTop="1" thickBot="1" x14ac:dyDescent="0.2">
      <c r="A35" s="42" t="s">
        <v>33</v>
      </c>
      <c r="B35" s="60">
        <f>IRR(B34:G34)</f>
        <v>0.18578478038485624</v>
      </c>
      <c r="C35" s="65">
        <v>0.22259999999999999</v>
      </c>
      <c r="D35" s="38"/>
      <c r="E35" s="38"/>
      <c r="F35" s="38"/>
      <c r="G35" s="38"/>
      <c r="H35" s="39"/>
    </row>
    <row r="36" spans="1:8" ht="14" thickBot="1" x14ac:dyDescent="0.2">
      <c r="A36" s="44"/>
      <c r="B36" s="45"/>
      <c r="C36" s="36"/>
      <c r="D36" s="36"/>
      <c r="E36" s="36"/>
      <c r="F36" s="36"/>
      <c r="G36" s="36"/>
      <c r="H36" s="36"/>
    </row>
    <row r="37" spans="1:8" ht="14" thickBot="1" x14ac:dyDescent="0.2">
      <c r="A37" s="66" t="s">
        <v>73</v>
      </c>
      <c r="B37" s="67"/>
      <c r="C37" s="67"/>
      <c r="D37" s="67"/>
      <c r="E37" s="67"/>
      <c r="F37" s="67"/>
      <c r="G37" s="67"/>
      <c r="H37" s="68"/>
    </row>
    <row r="38" spans="1:8" x14ac:dyDescent="0.15">
      <c r="A38" s="46" t="s">
        <v>80</v>
      </c>
      <c r="B38" s="47">
        <v>686400</v>
      </c>
      <c r="C38" s="48"/>
      <c r="D38" s="48"/>
      <c r="E38" s="48"/>
      <c r="F38" s="48"/>
      <c r="G38" s="48"/>
      <c r="H38" s="49"/>
    </row>
    <row r="39" spans="1:8" x14ac:dyDescent="0.15">
      <c r="A39" s="46" t="s">
        <v>81</v>
      </c>
      <c r="B39" s="36">
        <f>16*86400</f>
        <v>1382400</v>
      </c>
      <c r="C39" s="48"/>
      <c r="D39" s="48"/>
      <c r="E39" s="48"/>
      <c r="F39" s="48"/>
      <c r="G39" s="48"/>
      <c r="H39" s="49"/>
    </row>
    <row r="40" spans="1:8" x14ac:dyDescent="0.15">
      <c r="A40" s="46" t="s">
        <v>55</v>
      </c>
      <c r="B40" s="48">
        <f>B38/B39</f>
        <v>0.49652777777777779</v>
      </c>
      <c r="C40" s="48"/>
      <c r="D40" s="48"/>
      <c r="E40" s="48"/>
      <c r="F40" s="48"/>
      <c r="G40" s="48"/>
      <c r="H40" s="49"/>
    </row>
    <row r="41" spans="1:8" x14ac:dyDescent="0.15">
      <c r="A41" s="46" t="s">
        <v>74</v>
      </c>
      <c r="B41" s="48">
        <v>1.1499999999999999</v>
      </c>
      <c r="C41" s="48"/>
      <c r="D41" s="48"/>
      <c r="E41" s="48"/>
      <c r="F41" s="48"/>
      <c r="G41" s="48"/>
      <c r="H41" s="49"/>
    </row>
    <row r="42" spans="1:8" x14ac:dyDescent="0.15">
      <c r="A42" s="46" t="s">
        <v>56</v>
      </c>
      <c r="B42" s="48">
        <f>B41/(1+(1-0.41)*(B40))</f>
        <v>0.88943792464484228</v>
      </c>
      <c r="C42" s="48"/>
      <c r="D42" s="48"/>
      <c r="E42" s="48"/>
      <c r="F42" s="48"/>
      <c r="G42" s="48"/>
      <c r="H42" s="49"/>
    </row>
    <row r="43" spans="1:8" x14ac:dyDescent="0.15">
      <c r="A43" s="46" t="s">
        <v>76</v>
      </c>
      <c r="B43" s="50">
        <v>7.6999999999999999E-2</v>
      </c>
      <c r="C43" s="48"/>
      <c r="D43" s="48"/>
      <c r="E43" s="48"/>
      <c r="F43" s="48"/>
      <c r="G43" s="48"/>
      <c r="H43" s="49"/>
    </row>
    <row r="44" spans="1:8" x14ac:dyDescent="0.15">
      <c r="A44" s="46" t="s">
        <v>75</v>
      </c>
      <c r="B44" s="50">
        <v>4.4999999999999998E-2</v>
      </c>
      <c r="C44" s="48"/>
      <c r="D44" s="48"/>
      <c r="E44" s="48"/>
      <c r="F44" s="48"/>
      <c r="G44" s="48"/>
      <c r="H44" s="49"/>
    </row>
    <row r="45" spans="1:8" x14ac:dyDescent="0.15">
      <c r="A45" s="46" t="s">
        <v>57</v>
      </c>
      <c r="B45" s="54">
        <f>B44+B42*B43</f>
        <v>0.11348672019765285</v>
      </c>
      <c r="C45" s="48"/>
      <c r="D45" s="48"/>
      <c r="E45" s="48"/>
      <c r="F45" s="48"/>
      <c r="G45" s="48"/>
      <c r="H45" s="49"/>
    </row>
    <row r="46" spans="1:8" x14ac:dyDescent="0.15">
      <c r="A46" s="46" t="s">
        <v>77</v>
      </c>
      <c r="B46" s="51">
        <v>0.03</v>
      </c>
      <c r="C46" s="48"/>
      <c r="D46" s="48"/>
      <c r="E46" s="48"/>
      <c r="F46" s="48"/>
      <c r="G46" s="48"/>
      <c r="H46" s="49"/>
    </row>
    <row r="47" spans="1:8" x14ac:dyDescent="0.15">
      <c r="A47" s="46" t="s">
        <v>58</v>
      </c>
      <c r="B47" s="51"/>
      <c r="C47" s="36">
        <f>C14*C15</f>
        <v>38963.939999999995</v>
      </c>
      <c r="D47" s="36">
        <f t="shared" ref="D47:G47" si="8">D14*D15</f>
        <v>38963.939999999995</v>
      </c>
      <c r="E47" s="36">
        <f t="shared" si="8"/>
        <v>38963.939999999995</v>
      </c>
      <c r="F47" s="36">
        <f t="shared" si="8"/>
        <v>38963.939999999995</v>
      </c>
      <c r="G47" s="36">
        <f t="shared" si="8"/>
        <v>38963.939999999995</v>
      </c>
      <c r="H47" s="49" t="s">
        <v>60</v>
      </c>
    </row>
    <row r="48" spans="1:8" x14ac:dyDescent="0.15">
      <c r="A48" s="46" t="s">
        <v>66</v>
      </c>
      <c r="B48" s="48"/>
      <c r="C48" s="48">
        <f>C47/(1+8.93%)</f>
        <v>35769.705315340121</v>
      </c>
      <c r="D48" s="48">
        <f>D47/(1+8.93%)^2</f>
        <v>32837.331603176463</v>
      </c>
      <c r="E48" s="48">
        <f>E47/(1+8.93%)^3</f>
        <v>30145.35169666434</v>
      </c>
      <c r="F48" s="48">
        <f>F47/(1+8.93%)^4</f>
        <v>27674.058291255249</v>
      </c>
      <c r="G48" s="48">
        <f>G47/(1+8.93%)^5</f>
        <v>25405.359672500916</v>
      </c>
      <c r="H48" s="52">
        <f>G52/(1+8.93%)^5</f>
        <v>144835.43346773682</v>
      </c>
    </row>
    <row r="49" spans="1:8" x14ac:dyDescent="0.15">
      <c r="A49" s="46" t="s">
        <v>59</v>
      </c>
      <c r="B49" s="54">
        <f>(B38/(B38+B39))*8.93%*(1-0.41)+(B39/(B38+B39))*(B44+B41*B43)</f>
        <v>0.10672074477958236</v>
      </c>
      <c r="C49" s="48"/>
      <c r="D49" s="48"/>
      <c r="E49" s="48"/>
      <c r="F49" s="48"/>
      <c r="G49" s="48"/>
      <c r="H49" s="49"/>
    </row>
    <row r="50" spans="1:8" x14ac:dyDescent="0.15">
      <c r="A50" s="46" t="s">
        <v>61</v>
      </c>
      <c r="B50" s="48"/>
      <c r="C50" s="48"/>
      <c r="D50" s="48"/>
      <c r="E50" s="48"/>
      <c r="F50" s="48"/>
      <c r="G50" s="36">
        <f>G11*(1+B46)/(B49-B46)</f>
        <v>2740938.7200834826</v>
      </c>
      <c r="H50" s="49"/>
    </row>
    <row r="51" spans="1:8" x14ac:dyDescent="0.15">
      <c r="A51" s="46" t="s">
        <v>62</v>
      </c>
      <c r="B51" s="48"/>
      <c r="C51" s="48"/>
      <c r="D51" s="48"/>
      <c r="E51" s="48"/>
      <c r="F51" s="48"/>
      <c r="G51" s="36">
        <f>G11*(1+B46)/(B45-B46)</f>
        <v>2518806.0987681728</v>
      </c>
      <c r="H51" s="49"/>
    </row>
    <row r="52" spans="1:8" x14ac:dyDescent="0.15">
      <c r="A52" s="46" t="s">
        <v>63</v>
      </c>
      <c r="B52" s="48"/>
      <c r="C52" s="48"/>
      <c r="D52" s="48"/>
      <c r="E52" s="48"/>
      <c r="F52" s="48"/>
      <c r="G52" s="47">
        <f>G50-G51</f>
        <v>222132.62131530978</v>
      </c>
      <c r="H52" s="49"/>
    </row>
    <row r="53" spans="1:8" x14ac:dyDescent="0.15">
      <c r="A53" s="46" t="s">
        <v>64</v>
      </c>
      <c r="B53" s="47">
        <f>SUM(C48:H48)</f>
        <v>296667.24004667392</v>
      </c>
      <c r="C53" s="48"/>
      <c r="D53" s="48"/>
      <c r="E53" s="48"/>
      <c r="F53" s="48"/>
      <c r="G53" s="48"/>
      <c r="H53" s="49"/>
    </row>
    <row r="54" spans="1:8" x14ac:dyDescent="0.15">
      <c r="A54" s="46"/>
      <c r="B54" s="48"/>
      <c r="C54" s="48"/>
      <c r="D54" s="48"/>
      <c r="E54" s="48"/>
      <c r="F54" s="48"/>
      <c r="G54" s="48"/>
      <c r="H54" s="49"/>
    </row>
    <row r="55" spans="1:8" x14ac:dyDescent="0.15">
      <c r="A55" s="46" t="s">
        <v>69</v>
      </c>
      <c r="B55" s="47">
        <f>B53+B19</f>
        <v>2365112.1486421898</v>
      </c>
      <c r="C55" s="48"/>
      <c r="D55" s="48"/>
      <c r="E55" s="48"/>
      <c r="F55" s="48"/>
      <c r="G55" s="48"/>
      <c r="H55" s="49"/>
    </row>
    <row r="56" spans="1:8" x14ac:dyDescent="0.15">
      <c r="A56" s="46" t="s">
        <v>83</v>
      </c>
      <c r="B56" s="47">
        <f>B55/C3</f>
        <v>8.9857494239978024</v>
      </c>
      <c r="C56" s="48"/>
      <c r="D56" s="48"/>
      <c r="E56" s="48"/>
      <c r="F56" s="48"/>
      <c r="G56" s="48"/>
      <c r="H56" s="49"/>
    </row>
    <row r="57" spans="1:8" x14ac:dyDescent="0.15">
      <c r="A57" s="46" t="s">
        <v>52</v>
      </c>
      <c r="B57" s="47">
        <f>B29</f>
        <v>333248</v>
      </c>
      <c r="C57" s="48"/>
      <c r="D57" s="48"/>
      <c r="E57" s="48"/>
      <c r="F57" s="48"/>
      <c r="G57" s="48"/>
      <c r="H57" s="49"/>
    </row>
    <row r="58" spans="1:8" x14ac:dyDescent="0.15">
      <c r="A58" s="46" t="s">
        <v>70</v>
      </c>
      <c r="B58" s="36">
        <f>213800+172600+300000</f>
        <v>686400</v>
      </c>
      <c r="C58" s="48"/>
      <c r="D58" s="48"/>
      <c r="E58" s="48"/>
      <c r="F58" s="48"/>
      <c r="G58" s="48"/>
      <c r="H58" s="49"/>
    </row>
    <row r="59" spans="1:8" x14ac:dyDescent="0.15">
      <c r="A59" s="46" t="s">
        <v>53</v>
      </c>
      <c r="B59" s="47">
        <f>B55+B57-B58</f>
        <v>2011960.1486421898</v>
      </c>
      <c r="C59" s="48"/>
      <c r="D59" s="48"/>
      <c r="E59" s="48"/>
      <c r="F59" s="48"/>
      <c r="G59" s="48"/>
      <c r="H59" s="49"/>
    </row>
    <row r="60" spans="1:8" x14ac:dyDescent="0.15">
      <c r="A60" s="46" t="s">
        <v>79</v>
      </c>
      <c r="B60" s="48">
        <v>86400</v>
      </c>
      <c r="C60" s="48"/>
      <c r="D60" s="48"/>
      <c r="E60" s="48"/>
      <c r="F60" s="48"/>
      <c r="G60" s="48"/>
      <c r="H60" s="49"/>
    </row>
    <row r="61" spans="1:8" x14ac:dyDescent="0.15">
      <c r="A61" s="55" t="s">
        <v>71</v>
      </c>
      <c r="B61" s="56">
        <f>B59/B60</f>
        <v>23.28657579446979</v>
      </c>
      <c r="C61" s="57"/>
      <c r="D61" s="57"/>
      <c r="E61" s="57"/>
      <c r="F61" s="57"/>
      <c r="G61" s="57"/>
      <c r="H61" s="58"/>
    </row>
  </sheetData>
  <mergeCells count="2">
    <mergeCell ref="A22:H22"/>
    <mergeCell ref="A37:H3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9"/>
  <sheetViews>
    <sheetView topLeftCell="A16" zoomScale="127" zoomScaleNormal="127" zoomScalePageLayoutView="127" workbookViewId="0">
      <selection activeCell="I26" sqref="I26"/>
    </sheetView>
  </sheetViews>
  <sheetFormatPr baseColWidth="10" defaultRowHeight="16" x14ac:dyDescent="0.2"/>
  <cols>
    <col min="1" max="1" width="31.83203125" customWidth="1"/>
    <col min="8" max="8" width="10.5" customWidth="1"/>
    <col min="9" max="9" width="11" customWidth="1"/>
  </cols>
  <sheetData>
    <row r="1" spans="1:10" x14ac:dyDescent="0.2">
      <c r="A1" s="18" t="s">
        <v>0</v>
      </c>
      <c r="B1" t="s">
        <v>22</v>
      </c>
      <c r="C1" s="5">
        <v>32508</v>
      </c>
    </row>
    <row r="2" spans="1:10" x14ac:dyDescent="0.2">
      <c r="A2" t="s">
        <v>6</v>
      </c>
    </row>
    <row r="3" spans="1:10" x14ac:dyDescent="0.2">
      <c r="B3" s="11">
        <v>1988</v>
      </c>
      <c r="C3" s="12" t="s">
        <v>1</v>
      </c>
      <c r="D3" s="12" t="s">
        <v>2</v>
      </c>
      <c r="E3" s="12" t="s">
        <v>3</v>
      </c>
      <c r="F3" s="12" t="s">
        <v>4</v>
      </c>
      <c r="G3" s="12" t="s">
        <v>5</v>
      </c>
      <c r="H3" s="12" t="s">
        <v>26</v>
      </c>
    </row>
    <row r="4" spans="1:10" x14ac:dyDescent="0.2">
      <c r="A4" t="s">
        <v>27</v>
      </c>
      <c r="B4" s="13">
        <v>18950</v>
      </c>
      <c r="C4" s="4">
        <f>B4-C20</f>
        <v>15676.012500000001</v>
      </c>
      <c r="D4" s="4">
        <f>C4-D20</f>
        <v>12525.044434375</v>
      </c>
      <c r="E4" s="4">
        <f>D4-E20</f>
        <v>11461.541505844532</v>
      </c>
      <c r="F4" s="4">
        <f>E4-F20</f>
        <v>10104.041733406411</v>
      </c>
      <c r="G4" s="4">
        <f>F4-G20</f>
        <v>8411.0688529785402</v>
      </c>
    </row>
    <row r="5" spans="1:10" x14ac:dyDescent="0.2">
      <c r="A5" t="s">
        <v>28</v>
      </c>
      <c r="B5" s="13">
        <v>3500</v>
      </c>
      <c r="C5">
        <f>B5</f>
        <v>3500</v>
      </c>
      <c r="D5">
        <f>C5</f>
        <v>3500</v>
      </c>
      <c r="E5">
        <f>D5</f>
        <v>3500</v>
      </c>
      <c r="F5">
        <f>E5</f>
        <v>3500</v>
      </c>
      <c r="G5">
        <f>F5</f>
        <v>3500</v>
      </c>
      <c r="J5" s="3"/>
    </row>
    <row r="6" spans="1:10" x14ac:dyDescent="0.2">
      <c r="A6" t="s">
        <v>7</v>
      </c>
      <c r="C6" s="13">
        <v>3360</v>
      </c>
      <c r="D6" s="13">
        <v>3700</v>
      </c>
      <c r="E6" s="13">
        <v>4280</v>
      </c>
      <c r="F6" s="13">
        <v>4610</v>
      </c>
      <c r="G6" s="13">
        <v>4970</v>
      </c>
      <c r="H6" s="13">
        <v>5280</v>
      </c>
      <c r="J6" s="1"/>
    </row>
    <row r="7" spans="1:10" x14ac:dyDescent="0.2">
      <c r="A7" t="s">
        <v>8</v>
      </c>
      <c r="C7">
        <f>C6-C14</f>
        <v>2860</v>
      </c>
      <c r="D7">
        <f>D6-D14</f>
        <v>3225</v>
      </c>
      <c r="E7">
        <f>E6-E14</f>
        <v>3805</v>
      </c>
      <c r="F7">
        <f>F6-F14</f>
        <v>4135</v>
      </c>
      <c r="G7">
        <f>G6-G14</f>
        <v>4495</v>
      </c>
    </row>
    <row r="8" spans="1:10" x14ac:dyDescent="0.2">
      <c r="A8" t="s">
        <v>16</v>
      </c>
      <c r="C8" s="14">
        <v>0.115</v>
      </c>
      <c r="D8" s="14">
        <f t="shared" ref="D8:G9" si="0">C8</f>
        <v>0.115</v>
      </c>
      <c r="E8" s="14">
        <f t="shared" si="0"/>
        <v>0.115</v>
      </c>
      <c r="F8" s="14">
        <f t="shared" si="0"/>
        <v>0.115</v>
      </c>
      <c r="G8" s="14">
        <f t="shared" si="0"/>
        <v>0.115</v>
      </c>
    </row>
    <row r="9" spans="1:10" x14ac:dyDescent="0.2">
      <c r="A9" t="s">
        <v>17</v>
      </c>
      <c r="C9" s="15">
        <v>0.14000000000000001</v>
      </c>
      <c r="D9" s="15">
        <f t="shared" si="0"/>
        <v>0.14000000000000001</v>
      </c>
      <c r="E9" s="15">
        <f t="shared" si="0"/>
        <v>0.14000000000000001</v>
      </c>
      <c r="F9" s="15">
        <f t="shared" si="0"/>
        <v>0.14000000000000001</v>
      </c>
      <c r="G9" s="15">
        <f t="shared" si="0"/>
        <v>0.14000000000000001</v>
      </c>
      <c r="J9" s="1"/>
    </row>
    <row r="10" spans="1:10" x14ac:dyDescent="0.2">
      <c r="A10" t="s">
        <v>18</v>
      </c>
      <c r="C10" s="4">
        <f>B4*C8+B5*C9</f>
        <v>2669.25</v>
      </c>
      <c r="D10" s="4">
        <f>C4*D8+C5*D9</f>
        <v>2292.7414375000003</v>
      </c>
      <c r="E10" s="4">
        <f>D4*E8+D5*E9</f>
        <v>1930.3801099531252</v>
      </c>
      <c r="F10" s="4">
        <f>E4*F8+E5*F9</f>
        <v>1808.0772731721213</v>
      </c>
      <c r="G10" s="4">
        <f>F4*G8+F5*G9</f>
        <v>1651.9647993417373</v>
      </c>
      <c r="J10" s="1"/>
    </row>
    <row r="11" spans="1:10" x14ac:dyDescent="0.2">
      <c r="A11" t="s">
        <v>9</v>
      </c>
      <c r="C11" s="15">
        <v>0.35</v>
      </c>
      <c r="D11" s="15">
        <v>0.35</v>
      </c>
      <c r="E11" s="15">
        <v>0.35</v>
      </c>
      <c r="F11" s="15">
        <v>0.35</v>
      </c>
      <c r="G11" s="15">
        <v>0.35</v>
      </c>
      <c r="J11" s="2"/>
    </row>
    <row r="12" spans="1:10" x14ac:dyDescent="0.2">
      <c r="A12" t="s">
        <v>19</v>
      </c>
      <c r="C12" s="4">
        <f>C10*C11</f>
        <v>934.23749999999995</v>
      </c>
      <c r="D12" s="4">
        <f>D10*D11</f>
        <v>802.45950312500008</v>
      </c>
      <c r="E12" s="4">
        <f>E10*E11</f>
        <v>675.63303848359374</v>
      </c>
      <c r="F12" s="4">
        <f>F10*F11</f>
        <v>632.82704561024241</v>
      </c>
      <c r="G12" s="4">
        <f>G10*G11</f>
        <v>578.18767976960805</v>
      </c>
      <c r="J12" s="2"/>
    </row>
    <row r="13" spans="1:10" x14ac:dyDescent="0.2">
      <c r="A13" t="s">
        <v>10</v>
      </c>
      <c r="C13">
        <f>C7*(1-C11)</f>
        <v>1859</v>
      </c>
      <c r="D13" s="4">
        <f>D7*(1-D11)</f>
        <v>2096.25</v>
      </c>
      <c r="E13" s="4">
        <f>E7*(1-E11)</f>
        <v>2473.25</v>
      </c>
      <c r="F13" s="4">
        <f>F7*(1-F11)</f>
        <v>2687.75</v>
      </c>
      <c r="G13" s="4">
        <f>G7*(1-G11)</f>
        <v>2921.75</v>
      </c>
      <c r="J13" s="1"/>
    </row>
    <row r="14" spans="1:10" x14ac:dyDescent="0.2">
      <c r="A14" t="s">
        <v>11</v>
      </c>
      <c r="C14" s="13">
        <v>500</v>
      </c>
      <c r="D14" s="13">
        <v>475</v>
      </c>
      <c r="E14" s="13">
        <v>475</v>
      </c>
      <c r="F14" s="13">
        <v>475</v>
      </c>
      <c r="G14" s="13">
        <v>475</v>
      </c>
      <c r="J14" s="2"/>
    </row>
    <row r="15" spans="1:10" x14ac:dyDescent="0.2">
      <c r="A15" t="s">
        <v>12</v>
      </c>
      <c r="C15" s="13">
        <v>770</v>
      </c>
      <c r="D15" s="13">
        <v>550</v>
      </c>
      <c r="E15" s="13">
        <v>550</v>
      </c>
      <c r="F15" s="13">
        <v>550</v>
      </c>
      <c r="G15" s="13">
        <v>550</v>
      </c>
    </row>
    <row r="16" spans="1:10" x14ac:dyDescent="0.2">
      <c r="A16" t="s">
        <v>13</v>
      </c>
      <c r="C16" s="13">
        <v>80</v>
      </c>
      <c r="D16" s="13">
        <v>80</v>
      </c>
      <c r="E16" s="13">
        <v>80</v>
      </c>
      <c r="F16" s="13">
        <v>80</v>
      </c>
      <c r="G16" s="13">
        <v>80</v>
      </c>
    </row>
    <row r="17" spans="1:7" x14ac:dyDescent="0.2">
      <c r="A17" t="s">
        <v>14</v>
      </c>
      <c r="C17" s="13">
        <v>3500</v>
      </c>
      <c r="D17" s="13">
        <v>2700</v>
      </c>
    </row>
    <row r="18" spans="1:7" x14ac:dyDescent="0.2">
      <c r="A18" t="s">
        <v>15</v>
      </c>
      <c r="C18">
        <f>C13+C14-C15-C16+C17</f>
        <v>5009</v>
      </c>
      <c r="D18" s="4">
        <f>D13+D14-D15-D16+D17</f>
        <v>4641.25</v>
      </c>
      <c r="E18" s="4">
        <f>E13+E14-E15-E16+E17</f>
        <v>2318.25</v>
      </c>
      <c r="F18" s="4">
        <f>F13+F14-F15-F16+F17</f>
        <v>2532.75</v>
      </c>
      <c r="G18" s="4">
        <f>G13+G14-G15-G16+G17</f>
        <v>2766.75</v>
      </c>
    </row>
    <row r="19" spans="1:7" x14ac:dyDescent="0.2">
      <c r="A19" t="s">
        <v>20</v>
      </c>
      <c r="C19" s="4">
        <f>C10*(1-C11)</f>
        <v>1735.0125</v>
      </c>
      <c r="D19" s="4">
        <f>D10*(1-D11)</f>
        <v>1490.2819343750002</v>
      </c>
      <c r="E19" s="4">
        <f>E10*(1-E11)</f>
        <v>1254.7470714695314</v>
      </c>
      <c r="F19" s="4">
        <f>F10*(1-F11)</f>
        <v>1175.2502275618788</v>
      </c>
      <c r="G19" s="4">
        <f>G10*(1-G11)</f>
        <v>1073.7771195721293</v>
      </c>
    </row>
    <row r="20" spans="1:7" x14ac:dyDescent="0.2">
      <c r="A20" t="s">
        <v>21</v>
      </c>
      <c r="C20" s="4">
        <f>C18-C19</f>
        <v>3273.9875000000002</v>
      </c>
      <c r="D20" s="4">
        <f>D18-D19</f>
        <v>3150.9680656249998</v>
      </c>
      <c r="E20" s="4">
        <f>E18-E19</f>
        <v>1063.5029285304686</v>
      </c>
      <c r="F20" s="4">
        <f>F18-F19</f>
        <v>1357.4997724381212</v>
      </c>
      <c r="G20" s="4">
        <f>G18-G19</f>
        <v>1692.9728804278707</v>
      </c>
    </row>
    <row r="21" spans="1:7" x14ac:dyDescent="0.2">
      <c r="A21" t="s">
        <v>29</v>
      </c>
      <c r="B21" s="13">
        <v>8.9</v>
      </c>
      <c r="G21" s="4"/>
    </row>
    <row r="22" spans="1:7" x14ac:dyDescent="0.2">
      <c r="A22" t="s">
        <v>31</v>
      </c>
      <c r="B22" s="13">
        <v>8.9</v>
      </c>
      <c r="C22" s="4"/>
      <c r="D22" s="7" t="s">
        <v>31</v>
      </c>
      <c r="E22" s="8" t="s">
        <v>33</v>
      </c>
      <c r="F22" s="4"/>
      <c r="G22" s="4"/>
    </row>
    <row r="23" spans="1:7" x14ac:dyDescent="0.2">
      <c r="A23" t="s">
        <v>25</v>
      </c>
      <c r="B23">
        <f>C6*B21</f>
        <v>29904</v>
      </c>
      <c r="D23" s="16">
        <v>8.4</v>
      </c>
      <c r="E23" s="9">
        <v>0.309</v>
      </c>
      <c r="G23">
        <f>H6*B22</f>
        <v>46992</v>
      </c>
    </row>
    <row r="24" spans="1:7" x14ac:dyDescent="0.2">
      <c r="A24" t="s">
        <v>32</v>
      </c>
      <c r="B24" s="13">
        <v>1000</v>
      </c>
      <c r="D24" s="16">
        <v>8.9</v>
      </c>
      <c r="E24" s="9">
        <v>0.32900000000000001</v>
      </c>
      <c r="G24">
        <v>0</v>
      </c>
    </row>
    <row r="25" spans="1:7" x14ac:dyDescent="0.2">
      <c r="A25" t="s">
        <v>23</v>
      </c>
      <c r="B25" s="19">
        <f>B4+B5</f>
        <v>22450</v>
      </c>
      <c r="D25" s="17">
        <v>9.4</v>
      </c>
      <c r="E25" s="10">
        <v>0.34899999999999998</v>
      </c>
      <c r="G25" s="4">
        <f>G4+G5</f>
        <v>11911.06885297854</v>
      </c>
    </row>
    <row r="26" spans="1:7" x14ac:dyDescent="0.2">
      <c r="A26" t="s">
        <v>34</v>
      </c>
      <c r="B26">
        <f>-1*(B23+B24-B25)</f>
        <v>-8454</v>
      </c>
      <c r="C26">
        <v>0</v>
      </c>
      <c r="D26" s="20">
        <v>0</v>
      </c>
      <c r="E26" s="20">
        <v>0</v>
      </c>
      <c r="F26">
        <v>0</v>
      </c>
      <c r="G26" s="4">
        <f>G23+G24-G25</f>
        <v>35080.93114702146</v>
      </c>
    </row>
    <row r="27" spans="1:7" x14ac:dyDescent="0.2">
      <c r="A27" t="s">
        <v>24</v>
      </c>
      <c r="B27" s="13">
        <v>229</v>
      </c>
    </row>
    <row r="28" spans="1:7" x14ac:dyDescent="0.2">
      <c r="A28" t="s">
        <v>30</v>
      </c>
      <c r="B28" s="4">
        <f>-1*(B26/B27)</f>
        <v>36.917030567685586</v>
      </c>
    </row>
    <row r="29" spans="1:7" x14ac:dyDescent="0.2">
      <c r="A29" t="s">
        <v>33</v>
      </c>
      <c r="B29" s="6">
        <f>IRR(B26:G26)</f>
        <v>0.32923501718392756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AMCE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2017-10-23T14:29:05Z</dcterms:created>
  <dcterms:modified xsi:type="dcterms:W3CDTF">2018-12-05T18:16:34Z</dcterms:modified>
</cp:coreProperties>
</file>